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420" yWindow="465" windowWidth="24240" windowHeight="13740" activeTab="1"/>
  </bookViews>
  <sheets>
    <sheet name="2019г.(8 мес.) сайт" sheetId="2" r:id="rId1"/>
    <sheet name="Лист1" sheetId="3" r:id="rId2"/>
  </sheets>
  <calcPr calcId="124519"/>
</workbook>
</file>

<file path=xl/calcChain.xml><?xml version="1.0" encoding="utf-8"?>
<calcChain xmlns="http://schemas.openxmlformats.org/spreadsheetml/2006/main">
  <c r="H48" i="3"/>
  <c r="G24"/>
  <c r="G47" s="1"/>
  <c r="G30"/>
  <c r="E44"/>
  <c r="E45"/>
  <c r="H45" s="1"/>
  <c r="H44"/>
  <c r="E43"/>
  <c r="H43" s="1"/>
  <c r="E41"/>
  <c r="E40"/>
  <c r="E38"/>
  <c r="E37"/>
  <c r="E34"/>
  <c r="E33"/>
  <c r="E32"/>
  <c r="E31"/>
  <c r="E30"/>
  <c r="E26"/>
  <c r="E28"/>
  <c r="E25"/>
  <c r="E24"/>
  <c r="E21"/>
  <c r="E20"/>
  <c r="E19"/>
  <c r="E18"/>
  <c r="E15"/>
  <c r="E14"/>
  <c r="E11"/>
  <c r="E9"/>
  <c r="E8"/>
  <c r="E7"/>
  <c r="E3"/>
  <c r="E47" l="1"/>
  <c r="H41"/>
  <c r="H40"/>
  <c r="H38"/>
  <c r="H37"/>
  <c r="H34"/>
  <c r="H33"/>
  <c r="H32"/>
  <c r="H31"/>
  <c r="H30"/>
  <c r="H28"/>
  <c r="H26"/>
  <c r="H25"/>
  <c r="H24"/>
  <c r="H21"/>
  <c r="H20"/>
  <c r="H19"/>
  <c r="H18"/>
  <c r="H15"/>
  <c r="H14"/>
  <c r="H11"/>
  <c r="H9"/>
  <c r="H8"/>
  <c r="H7"/>
  <c r="H50" i="2"/>
  <c r="E7"/>
  <c r="F50"/>
  <c r="E50"/>
  <c r="H12"/>
  <c r="H15"/>
  <c r="H16"/>
  <c r="H19"/>
  <c r="H20"/>
  <c r="H21"/>
  <c r="H22"/>
  <c r="H25"/>
  <c r="H26"/>
  <c r="H27"/>
  <c r="H29"/>
  <c r="H31"/>
  <c r="H32"/>
  <c r="H33"/>
  <c r="H34"/>
  <c r="H35"/>
  <c r="H38"/>
  <c r="H39"/>
  <c r="H41"/>
  <c r="H42"/>
  <c r="H43"/>
  <c r="H47"/>
  <c r="H7"/>
  <c r="H51"/>
  <c r="H47" i="3" l="1"/>
  <c r="H49" i="2"/>
  <c r="E12"/>
  <c r="E26"/>
  <c r="E8"/>
  <c r="E9"/>
  <c r="E15"/>
  <c r="E16"/>
  <c r="E19"/>
  <c r="E20"/>
  <c r="E21"/>
  <c r="E22"/>
  <c r="E25"/>
  <c r="E27"/>
  <c r="E29"/>
  <c r="E31"/>
  <c r="E32"/>
  <c r="E33"/>
  <c r="E34"/>
  <c r="E35"/>
  <c r="E38"/>
  <c r="E39"/>
  <c r="E41"/>
  <c r="E42"/>
  <c r="E43"/>
  <c r="E45"/>
  <c r="F47"/>
  <c r="G47"/>
  <c r="G19"/>
  <c r="G20"/>
  <c r="G31"/>
  <c r="G33"/>
  <c r="H8"/>
  <c r="H9"/>
  <c r="H48"/>
  <c r="G50"/>
  <c r="E3" l="1"/>
</calcChain>
</file>

<file path=xl/sharedStrings.xml><?xml version="1.0" encoding="utf-8"?>
<sst xmlns="http://schemas.openxmlformats.org/spreadsheetml/2006/main" count="151" uniqueCount="72">
  <si>
    <t>Наименование работ</t>
  </si>
  <si>
    <t>Объем</t>
  </si>
  <si>
    <t>№ п/п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</si>
  <si>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МКД</t>
  </si>
  <si>
    <t>I.</t>
  </si>
  <si>
    <t>Общие работы, выполняемые для надлежащего содержания систем водоснабжения, отопления и водоотведения, в т.ч.</t>
  </si>
  <si>
    <t>Материалы,                руб.</t>
  </si>
  <si>
    <t xml:space="preserve"> </t>
  </si>
  <si>
    <t>Ед. изм.</t>
  </si>
  <si>
    <t>Долг на 31/12/2019</t>
  </si>
  <si>
    <t>Стоимость  за 1 кв.м общей площади руб.</t>
  </si>
  <si>
    <t>м2</t>
  </si>
  <si>
    <t>Годовая плата,               руб.</t>
  </si>
  <si>
    <t>Стоимость выполненных доп.работ (за отчетный период)</t>
  </si>
  <si>
    <t>Итого стоимость работ, руб</t>
  </si>
  <si>
    <t xml:space="preserve">1.1.  Проверка исправности и работоспособности:                                                          </t>
  </si>
  <si>
    <t>водоснабжения  и водоотведения</t>
  </si>
  <si>
    <t>отопления (в отопительный период)</t>
  </si>
  <si>
    <t>1.2. Обслуживание теплового узла</t>
  </si>
  <si>
    <t>1.3. Поверка теплового прибора учета</t>
  </si>
  <si>
    <t>2.1. Промывка и регулировка системы отопления</t>
  </si>
  <si>
    <t>3. Работы, выполняемые в целях надлежащего содержания систем электрооборудования</t>
  </si>
  <si>
    <t>3.1. Проверка и обеспечение работоспособности:</t>
  </si>
  <si>
    <t>электрооборудования</t>
  </si>
  <si>
    <t>ΙΙ. Работы и услуги по содержанию иного общего имущества в МКД.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</si>
  <si>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</si>
  <si>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</si>
  <si>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</si>
  <si>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</si>
  <si>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>1.4. Проведение дератизации и дезинсекции помещений подвала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</si>
  <si>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</si>
  <si>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</si>
  <si>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2.2. Уборка контейнерной площадки и прилегающей к ней территории</t>
  </si>
  <si>
    <t>2.3. Уборка крыльца, площадки перед входом в подъезд -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</si>
  <si>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</si>
  <si>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</si>
  <si>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</si>
  <si>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4. Работы по обеспечению вывоза бытовых отходов.</t>
  </si>
  <si>
    <t>4.1. Вывоз бытовых отходов</t>
  </si>
  <si>
    <t>в т.ч. крупногабаритный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</si>
  <si>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</si>
  <si>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</si>
  <si>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</si>
  <si>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5.2. Устранения аварий по заявкам населения </t>
  </si>
  <si>
    <t xml:space="preserve">Расходы на управление </t>
  </si>
  <si>
    <t>подметание, очистка от снега и наледи, посыпка песком площадки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</si>
  <si>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</si>
  <si>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</si>
  <si>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Стоимость выполненных работ по текущему ремонту и содержанию жилого дома №24                                     по ул. Бабушкина за период с 01.05.2019 по 31.12.2019 г.г. (8 месяцев)</t>
  </si>
  <si>
    <t>2.Работы, выполняемые в целях надлежащего содержания систем теплоснабжения</t>
  </si>
  <si>
    <t>Снятие показаний ИПУ и ОДПУ с расчетом расходов потребления, передача в РКЦ</t>
  </si>
  <si>
    <t>очистка от снега, льда, посыпка песком-194 м2</t>
  </si>
  <si>
    <t>м3</t>
  </si>
  <si>
    <t xml:space="preserve">2.3.Очистка урн от мусора </t>
  </si>
  <si>
    <t>шт.</t>
  </si>
  <si>
    <t>3.3. Уборка и выкашивание газонов</t>
  </si>
  <si>
    <t>3.4. Уборка крыльца, площадки перед входом в подъезд</t>
  </si>
  <si>
    <t xml:space="preserve">3.5.Очистка урн от мусора </t>
  </si>
  <si>
    <t>6. Дополнительные работы и услуги</t>
  </si>
  <si>
    <t xml:space="preserve">6.1. Установка светильников в подъездах </t>
  </si>
  <si>
    <t>7.Работы по содержанию помещений и территорий</t>
  </si>
  <si>
    <t>7.1. Крыша(герметизация примыканий к вентшахтам.(Акт от 15.08.2019 г.)</t>
  </si>
  <si>
    <t>7.2. Устройство примыканий козырька фасада к стене дома (Акт от 07.06.2019г.)</t>
  </si>
  <si>
    <t>7.3 Установка контейнера (Акт от 09.2019 г.)</t>
  </si>
  <si>
    <t xml:space="preserve">Составила:инженер  ООО"Континент" :Каминская Н.И. 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</si>
  <si>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управляющей компании ООО"Континент" о выполнении договора управления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содержанию и текущему ремонту жилого дома № 32 по ул. Бабушкина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период правления с 01.10.2019 по 31.12.2019 г. (3 месяца)</t>
  </si>
  <si>
    <t>очистка от снега, льда, посыпка песком-166 м2</t>
  </si>
  <si>
    <t>4.2. Организация мест накопления бытовых отходов (окраска контейнеров)-доля на дом -2,21 шт.</t>
  </si>
  <si>
    <t>6.1.Информационное обеспечение</t>
  </si>
  <si>
    <t xml:space="preserve">6. Расходы на управление </t>
  </si>
  <si>
    <t>6.2. Почто-банковские расходы</t>
  </si>
  <si>
    <t xml:space="preserve"> 6.3.Расходы на управление 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</si>
</sst>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1" xfId="0" applyBorder="1"/>
    <xf numFmtId="0" fontId="5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ont="1" applyBorder="1"/>
    <xf numFmtId="0" fontId="0" fillId="0" borderId="2" xfId="0" applyBorder="1"/>
    <xf numFmtId="0" fontId="0" fillId="0" borderId="4" xfId="0" applyBorder="1"/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right" vertical="top"/>
    </xf>
    <xf numFmtId="49" fontId="0" fillId="0" borderId="1" xfId="0" applyNumberFormat="1" applyBorder="1" applyAlignment="1">
      <alignment horizontal="right" vertical="top"/>
    </xf>
    <xf numFmtId="0" fontId="5" fillId="0" borderId="2" xfId="0" applyFont="1" applyBorder="1" applyAlignment="1">
      <alignment wrapText="1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4" xfId="0" applyFont="1" applyBorder="1"/>
    <xf numFmtId="0" fontId="0" fillId="0" borderId="5" xfId="0" applyFont="1" applyBorder="1"/>
    <xf numFmtId="2" fontId="0" fillId="0" borderId="1" xfId="0" applyNumberFormat="1" applyBorder="1"/>
    <xf numFmtId="0" fontId="0" fillId="2" borderId="1" xfId="0" applyFont="1" applyFill="1" applyBorder="1"/>
    <xf numFmtId="49" fontId="0" fillId="0" borderId="1" xfId="0" applyNumberFormat="1" applyBorder="1"/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right" vertical="top"/>
    </xf>
    <xf numFmtId="49" fontId="5" fillId="0" borderId="1" xfId="0" applyNumberFormat="1" applyFont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3" xfId="0" applyNumberFormat="1" applyFill="1" applyBorder="1"/>
    <xf numFmtId="2" fontId="0" fillId="2" borderId="1" xfId="0" applyNumberFormat="1" applyFill="1" applyBorder="1"/>
    <xf numFmtId="2" fontId="5" fillId="2" borderId="1" xfId="0" applyNumberFormat="1" applyFont="1" applyFill="1" applyBorder="1"/>
    <xf numFmtId="49" fontId="3" fillId="0" borderId="1" xfId="0" applyNumberFormat="1" applyFon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4" fontId="0" fillId="2" borderId="1" xfId="0" applyNumberFormat="1" applyFill="1" applyBorder="1"/>
    <xf numFmtId="0" fontId="0" fillId="2" borderId="4" xfId="0" applyFill="1" applyBorder="1"/>
    <xf numFmtId="2" fontId="0" fillId="0" borderId="0" xfId="0" applyNumberFormat="1"/>
    <xf numFmtId="0" fontId="5" fillId="2" borderId="1" xfId="0" applyFont="1" applyFill="1" applyBorder="1"/>
    <xf numFmtId="4" fontId="0" fillId="0" borderId="0" xfId="0" applyNumberFormat="1"/>
    <xf numFmtId="0" fontId="5" fillId="2" borderId="3" xfId="0" applyFont="1" applyFill="1" applyBorder="1" applyAlignment="1"/>
    <xf numFmtId="2" fontId="4" fillId="2" borderId="1" xfId="0" applyNumberFormat="1" applyFont="1" applyFill="1" applyBorder="1" applyAlignment="1"/>
    <xf numFmtId="2" fontId="0" fillId="0" borderId="1" xfId="0" applyNumberFormat="1" applyBorder="1" applyAlignment="1">
      <alignment horizontal="center" vertical="center" wrapText="1"/>
    </xf>
    <xf numFmtId="4" fontId="0" fillId="2" borderId="4" xfId="0" applyNumberFormat="1" applyFill="1" applyBorder="1"/>
    <xf numFmtId="2" fontId="2" fillId="2" borderId="1" xfId="0" applyNumberFormat="1" applyFont="1" applyFill="1" applyBorder="1"/>
    <xf numFmtId="0" fontId="5" fillId="2" borderId="4" xfId="0" applyFont="1" applyFill="1" applyBorder="1"/>
    <xf numFmtId="2" fontId="0" fillId="0" borderId="5" xfId="0" applyNumberFormat="1" applyFont="1" applyBorder="1"/>
    <xf numFmtId="2" fontId="0" fillId="0" borderId="4" xfId="0" applyNumberFormat="1" applyFont="1" applyBorder="1"/>
    <xf numFmtId="2" fontId="0" fillId="2" borderId="1" xfId="0" applyNumberFormat="1" applyFont="1" applyFill="1" applyBorder="1"/>
    <xf numFmtId="2" fontId="0" fillId="0" borderId="7" xfId="0" applyNumberFormat="1" applyBorder="1" applyAlignment="1">
      <alignment horizontal="right"/>
    </xf>
    <xf numFmtId="2" fontId="0" fillId="2" borderId="3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0" fillId="0" borderId="3" xfId="0" applyNumberFormat="1" applyFont="1" applyBorder="1"/>
    <xf numFmtId="0" fontId="11" fillId="3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0" fillId="0" borderId="1" xfId="0" applyBorder="1" applyAlignment="1"/>
    <xf numFmtId="0" fontId="12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1" fillId="0" borderId="9" xfId="0" applyFont="1" applyBorder="1" applyAlignment="1">
      <alignment wrapText="1"/>
    </xf>
    <xf numFmtId="0" fontId="11" fillId="0" borderId="9" xfId="0" applyFont="1" applyBorder="1" applyAlignment="1">
      <alignment vertical="top" wrapText="1"/>
    </xf>
    <xf numFmtId="0" fontId="12" fillId="0" borderId="13" xfId="0" applyFont="1" applyBorder="1" applyAlignment="1">
      <alignment horizontal="center" vertical="top" wrapText="1"/>
    </xf>
    <xf numFmtId="0" fontId="11" fillId="0" borderId="13" xfId="0" applyFont="1" applyBorder="1" applyAlignment="1">
      <alignment vertical="top" wrapText="1"/>
    </xf>
    <xf numFmtId="0" fontId="11" fillId="0" borderId="13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2" fillId="0" borderId="8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wrapText="1"/>
    </xf>
    <xf numFmtId="2" fontId="0" fillId="2" borderId="7" xfId="0" applyNumberFormat="1" applyFill="1" applyBorder="1"/>
    <xf numFmtId="0" fontId="0" fillId="0" borderId="15" xfId="0" applyBorder="1"/>
    <xf numFmtId="2" fontId="0" fillId="2" borderId="16" xfId="0" applyNumberFormat="1" applyFill="1" applyBorder="1"/>
    <xf numFmtId="0" fontId="0" fillId="2" borderId="5" xfId="0" applyFill="1" applyBorder="1"/>
    <xf numFmtId="2" fontId="0" fillId="2" borderId="5" xfId="0" applyNumberFormat="1" applyFill="1" applyBorder="1"/>
    <xf numFmtId="0" fontId="11" fillId="0" borderId="17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wrapText="1"/>
    </xf>
    <xf numFmtId="2" fontId="5" fillId="2" borderId="18" xfId="0" applyNumberFormat="1" applyFont="1" applyFill="1" applyBorder="1"/>
    <xf numFmtId="4" fontId="5" fillId="0" borderId="6" xfId="0" applyNumberFormat="1" applyFont="1" applyBorder="1"/>
    <xf numFmtId="164" fontId="0" fillId="0" borderId="1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12" fillId="0" borderId="11" xfId="0" applyFont="1" applyBorder="1" applyAlignment="1">
      <alignment wrapText="1"/>
    </xf>
    <xf numFmtId="0" fontId="10" fillId="0" borderId="0" xfId="0" applyFont="1"/>
    <xf numFmtId="2" fontId="4" fillId="2" borderId="1" xfId="0" applyNumberFormat="1" applyFon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2" borderId="16" xfId="0" applyNumberFormat="1" applyFill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0" fontId="12" fillId="0" borderId="1" xfId="0" applyFont="1" applyBorder="1" applyAlignment="1">
      <alignment horizontal="left" wrapText="1"/>
    </xf>
    <xf numFmtId="0" fontId="5" fillId="0" borderId="0" xfId="0" applyFont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2" fontId="0" fillId="0" borderId="4" xfId="0" applyNumberFormat="1" applyBorder="1" applyAlignment="1">
      <alignment horizontal="right"/>
    </xf>
    <xf numFmtId="0" fontId="14" fillId="0" borderId="20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14" fillId="0" borderId="19" xfId="0" applyFont="1" applyBorder="1" applyAlignment="1">
      <alignment wrapText="1"/>
    </xf>
    <xf numFmtId="0" fontId="0" fillId="0" borderId="5" xfId="0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5" fillId="0" borderId="21" xfId="0" applyFont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</cellXfs>
  <cellStyles count="2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zoomScale="125" zoomScaleNormal="125" zoomScalePageLayoutView="125" workbookViewId="0">
      <selection sqref="A1:XFD1048576"/>
    </sheetView>
  </sheetViews>
  <sheetFormatPr defaultColWidth="8.85546875" defaultRowHeight="15"/>
  <cols>
    <col min="1" max="1" width="4.140625" customWidth="1"/>
    <col min="2" max="2" width="63.7109375" customWidth="1"/>
    <col min="3" max="3" width="5.42578125" customWidth="1"/>
    <col min="4" max="4" width="7" customWidth="1"/>
    <col min="5" max="5" width="13.28515625" customWidth="1"/>
    <col min="6" max="6" width="10.7109375" bestFit="1" customWidth="1"/>
    <col min="7" max="7" width="8.140625" customWidth="1"/>
    <col min="8" max="8" width="10.42578125" customWidth="1"/>
    <col min="9" max="9" width="9.7109375" bestFit="1" customWidth="1"/>
  </cols>
  <sheetData>
    <row r="1" spans="1:10" ht="38.25" customHeight="1">
      <c r="B1" s="105" t="s">
        <v>48</v>
      </c>
      <c r="C1" s="105"/>
      <c r="D1" s="105"/>
      <c r="E1" s="105"/>
      <c r="F1" s="105"/>
      <c r="G1" s="105"/>
      <c r="H1" s="105"/>
      <c r="I1" s="4"/>
      <c r="J1" s="4"/>
    </row>
    <row r="2" spans="1:10" ht="125.25" customHeight="1">
      <c r="A2" s="3" t="s">
        <v>2</v>
      </c>
      <c r="B2" s="3" t="s">
        <v>0</v>
      </c>
      <c r="C2" s="3" t="s">
        <v>8</v>
      </c>
      <c r="D2" s="3" t="s">
        <v>1</v>
      </c>
      <c r="E2" s="51" t="s">
        <v>12</v>
      </c>
      <c r="F2" s="51" t="s">
        <v>13</v>
      </c>
      <c r="G2" s="3" t="s">
        <v>6</v>
      </c>
      <c r="H2" s="51" t="s">
        <v>14</v>
      </c>
    </row>
    <row r="3" spans="1:10" ht="27.75" customHeight="1">
      <c r="A3" s="3"/>
      <c r="B3" s="3" t="s">
        <v>10</v>
      </c>
      <c r="C3" s="3" t="s">
        <v>11</v>
      </c>
      <c r="D3" s="82">
        <v>1510.3</v>
      </c>
      <c r="E3" s="52">
        <f>D3*22.84*8</f>
        <v>275962.016</v>
      </c>
      <c r="F3" s="40"/>
      <c r="G3" s="3"/>
      <c r="H3" s="40"/>
    </row>
    <row r="4" spans="1:10" ht="40.5" customHeight="1">
      <c r="A4" s="11" t="s">
        <v>4</v>
      </c>
      <c r="B4" s="9" t="s">
        <v>3</v>
      </c>
      <c r="C4" s="1"/>
      <c r="D4" s="1"/>
      <c r="E4" s="1"/>
      <c r="F4" s="20"/>
      <c r="G4" s="1"/>
      <c r="H4" s="20"/>
    </row>
    <row r="5" spans="1:10" ht="31.5" customHeight="1">
      <c r="A5" s="10">
        <v>1</v>
      </c>
      <c r="B5" s="9" t="s">
        <v>5</v>
      </c>
      <c r="C5" s="1"/>
      <c r="D5" s="1"/>
      <c r="E5" s="1"/>
      <c r="F5" s="20"/>
      <c r="G5" s="1"/>
      <c r="H5" s="20"/>
    </row>
    <row r="6" spans="1:10" ht="15.75" thickBot="1">
      <c r="A6" s="17"/>
      <c r="B6" s="54" t="s">
        <v>15</v>
      </c>
      <c r="C6" s="18"/>
      <c r="D6" s="18"/>
      <c r="E6" s="45"/>
      <c r="F6" s="45"/>
      <c r="G6" s="18"/>
      <c r="H6" s="49"/>
    </row>
    <row r="7" spans="1:10" ht="15.75" thickBot="1">
      <c r="A7" s="17"/>
      <c r="B7" s="55" t="s">
        <v>16</v>
      </c>
      <c r="C7" s="5"/>
      <c r="D7" s="5"/>
      <c r="E7" s="53">
        <f>D3*1.03*8</f>
        <v>12444.871999999999</v>
      </c>
      <c r="F7" s="53"/>
      <c r="G7" s="5">
        <v>415</v>
      </c>
      <c r="H7" s="50">
        <f>E7+F7+G7</f>
        <v>12859.871999999999</v>
      </c>
    </row>
    <row r="8" spans="1:10" ht="15.75" thickBot="1">
      <c r="A8" s="17"/>
      <c r="B8" s="55" t="s">
        <v>17</v>
      </c>
      <c r="C8" s="19"/>
      <c r="D8" s="19"/>
      <c r="E8" s="44">
        <f>0.3*D3*8</f>
        <v>3624.72</v>
      </c>
      <c r="F8" s="44"/>
      <c r="G8" s="19"/>
      <c r="H8" s="50">
        <f>E8+F8+G8</f>
        <v>3624.72</v>
      </c>
    </row>
    <row r="9" spans="1:10" ht="18.75" customHeight="1" thickBot="1">
      <c r="A9" s="12"/>
      <c r="B9" s="55" t="s">
        <v>18</v>
      </c>
      <c r="C9" s="5"/>
      <c r="D9" s="5"/>
      <c r="E9" s="20">
        <f>1.2*D3*8</f>
        <v>14498.88</v>
      </c>
      <c r="F9" s="20"/>
      <c r="G9" s="5"/>
      <c r="H9" s="50">
        <f>E9+F9+G9</f>
        <v>14498.88</v>
      </c>
    </row>
    <row r="10" spans="1:10" ht="15.75" thickBot="1">
      <c r="A10" s="17"/>
      <c r="B10" s="55" t="s">
        <v>19</v>
      </c>
      <c r="C10" s="5"/>
      <c r="D10" s="5"/>
      <c r="E10" s="20"/>
      <c r="F10" s="20"/>
      <c r="G10" s="5"/>
      <c r="H10" s="50"/>
    </row>
    <row r="11" spans="1:10" ht="26.25" customHeight="1">
      <c r="A11" s="25"/>
      <c r="B11" s="13" t="s">
        <v>49</v>
      </c>
      <c r="C11" s="5"/>
      <c r="D11" s="5"/>
      <c r="E11" s="46"/>
      <c r="F11" s="46"/>
      <c r="G11" s="21"/>
      <c r="H11" s="50"/>
    </row>
    <row r="12" spans="1:10">
      <c r="A12" s="22"/>
      <c r="B12" s="56" t="s">
        <v>20</v>
      </c>
      <c r="C12" s="8"/>
      <c r="D12" s="8"/>
      <c r="E12" s="86">
        <f>1.7*D3*8</f>
        <v>20540.079999999998</v>
      </c>
      <c r="F12" s="39"/>
      <c r="G12" s="38"/>
      <c r="H12" s="50">
        <f t="shared" ref="H12:H47" si="0">E12+F12+G12</f>
        <v>20540.079999999998</v>
      </c>
    </row>
    <row r="13" spans="1:10" ht="30.75" customHeight="1" thickBot="1">
      <c r="A13" s="24"/>
      <c r="B13" s="57" t="s">
        <v>21</v>
      </c>
      <c r="C13" s="1"/>
      <c r="D13" s="7"/>
      <c r="E13" s="87"/>
      <c r="F13" s="29"/>
      <c r="G13" s="26"/>
      <c r="H13" s="50"/>
    </row>
    <row r="14" spans="1:10" s="16" customFormat="1" ht="16.5" customHeight="1" thickBot="1">
      <c r="A14" s="25"/>
      <c r="B14" s="58" t="s">
        <v>22</v>
      </c>
      <c r="C14" s="14"/>
      <c r="D14" s="15"/>
      <c r="E14" s="47"/>
      <c r="F14" s="48"/>
      <c r="G14" s="27"/>
      <c r="H14" s="50"/>
    </row>
    <row r="15" spans="1:10" ht="15.75" thickBot="1">
      <c r="A15" s="17"/>
      <c r="B15" s="59" t="s">
        <v>23</v>
      </c>
      <c r="C15" s="6"/>
      <c r="D15" s="1"/>
      <c r="E15" s="48">
        <f>0.07*D3*8</f>
        <v>845.76800000000003</v>
      </c>
      <c r="F15" s="28"/>
      <c r="G15" s="29"/>
      <c r="H15" s="50">
        <f t="shared" si="0"/>
        <v>845.76800000000003</v>
      </c>
    </row>
    <row r="16" spans="1:10" ht="30.75" thickBot="1">
      <c r="A16" s="17"/>
      <c r="B16" s="60" t="s">
        <v>50</v>
      </c>
      <c r="C16" s="6"/>
      <c r="D16" s="1"/>
      <c r="E16" s="48">
        <f>0.6*D3*8</f>
        <v>7249.44</v>
      </c>
      <c r="F16" s="28"/>
      <c r="G16" s="26"/>
      <c r="H16" s="50">
        <f t="shared" si="0"/>
        <v>7249.44</v>
      </c>
    </row>
    <row r="17" spans="1:8" ht="29.25" thickBot="1">
      <c r="A17" s="17"/>
      <c r="B17" s="61" t="s">
        <v>24</v>
      </c>
      <c r="C17" s="6"/>
      <c r="D17" s="1"/>
      <c r="E17" s="88"/>
      <c r="F17" s="28"/>
      <c r="G17" s="26"/>
      <c r="H17" s="50"/>
    </row>
    <row r="18" spans="1:8" ht="29.25" thickBot="1">
      <c r="A18" s="17"/>
      <c r="B18" s="62" t="s">
        <v>25</v>
      </c>
      <c r="C18" s="6"/>
      <c r="D18" s="1"/>
      <c r="E18" s="88"/>
      <c r="F18" s="28"/>
      <c r="G18" s="26"/>
      <c r="H18" s="50"/>
    </row>
    <row r="19" spans="1:8" ht="15.75" thickBot="1">
      <c r="A19" s="17"/>
      <c r="B19" s="63" t="s">
        <v>26</v>
      </c>
      <c r="C19" s="6" t="s">
        <v>11</v>
      </c>
      <c r="D19" s="94">
        <v>128.4</v>
      </c>
      <c r="E19" s="88">
        <f>1.7*D3*8</f>
        <v>20540.079999999998</v>
      </c>
      <c r="F19" s="28"/>
      <c r="G19" s="29">
        <f>145+120+141.9+25.9+145+51.8</f>
        <v>629.59999999999991</v>
      </c>
      <c r="H19" s="50">
        <f t="shared" si="0"/>
        <v>21169.679999999997</v>
      </c>
    </row>
    <row r="20" spans="1:8" ht="15.75" thickBot="1">
      <c r="A20" s="17"/>
      <c r="B20" s="59" t="s">
        <v>27</v>
      </c>
      <c r="C20" s="6" t="s">
        <v>11</v>
      </c>
      <c r="D20" s="94">
        <v>128.4</v>
      </c>
      <c r="E20" s="88">
        <f>0.3*D3*8</f>
        <v>3624.72</v>
      </c>
      <c r="F20" s="28"/>
      <c r="G20" s="26">
        <f>40.29+54</f>
        <v>94.289999999999992</v>
      </c>
      <c r="H20" s="50">
        <f t="shared" si="0"/>
        <v>3719.0099999999998</v>
      </c>
    </row>
    <row r="21" spans="1:8" ht="15.75" thickBot="1">
      <c r="A21" s="17"/>
      <c r="B21" s="60" t="s">
        <v>28</v>
      </c>
      <c r="C21" s="6" t="s">
        <v>11</v>
      </c>
      <c r="D21" s="94">
        <v>214.8</v>
      </c>
      <c r="E21" s="48">
        <f>0.02*D3*8</f>
        <v>241.648</v>
      </c>
      <c r="F21" s="28"/>
      <c r="G21" s="26"/>
      <c r="H21" s="50">
        <f t="shared" si="0"/>
        <v>241.648</v>
      </c>
    </row>
    <row r="22" spans="1:8" ht="15.75" thickBot="1">
      <c r="A22" s="17"/>
      <c r="B22" s="64" t="s">
        <v>29</v>
      </c>
      <c r="C22" s="6" t="s">
        <v>11</v>
      </c>
      <c r="D22" s="94">
        <v>525.1</v>
      </c>
      <c r="E22" s="48">
        <f>0.12*D3*8</f>
        <v>1449.8879999999999</v>
      </c>
      <c r="F22" s="28"/>
      <c r="G22" s="26"/>
      <c r="H22" s="50">
        <f t="shared" si="0"/>
        <v>1449.8879999999999</v>
      </c>
    </row>
    <row r="23" spans="1:8" ht="28.5" customHeight="1" thickBot="1">
      <c r="A23" s="24"/>
      <c r="B23" s="65" t="s">
        <v>30</v>
      </c>
      <c r="C23" s="6"/>
      <c r="D23" s="94"/>
      <c r="E23" s="48"/>
      <c r="F23" s="28"/>
      <c r="G23" s="26"/>
      <c r="H23" s="50"/>
    </row>
    <row r="24" spans="1:8">
      <c r="A24" s="17"/>
      <c r="B24" s="66" t="s">
        <v>31</v>
      </c>
      <c r="C24" s="6"/>
      <c r="D24" s="94"/>
      <c r="E24" s="48"/>
      <c r="F24" s="28"/>
      <c r="G24" s="26"/>
      <c r="H24" s="50"/>
    </row>
    <row r="25" spans="1:8" ht="17.25" customHeight="1" thickBot="1">
      <c r="A25" s="17"/>
      <c r="B25" s="64" t="s">
        <v>51</v>
      </c>
      <c r="C25" s="6" t="s">
        <v>11</v>
      </c>
      <c r="D25" s="94">
        <v>1498.9</v>
      </c>
      <c r="E25" s="48">
        <f>1.5*D3*8</f>
        <v>18123.599999999999</v>
      </c>
      <c r="F25" s="28"/>
      <c r="G25" s="29">
        <v>912.5</v>
      </c>
      <c r="H25" s="50">
        <f t="shared" si="0"/>
        <v>19036.099999999999</v>
      </c>
    </row>
    <row r="26" spans="1:8" ht="30.75" thickBot="1">
      <c r="A26" s="17"/>
      <c r="B26" s="59" t="s">
        <v>32</v>
      </c>
      <c r="C26" s="6" t="s">
        <v>52</v>
      </c>
      <c r="D26" s="94">
        <v>35.5</v>
      </c>
      <c r="E26" s="48">
        <f>0.33*D3*8</f>
        <v>3987.192</v>
      </c>
      <c r="G26" s="26"/>
      <c r="H26" s="91">
        <f>E26</f>
        <v>3987.192</v>
      </c>
    </row>
    <row r="27" spans="1:8">
      <c r="A27" s="24"/>
      <c r="B27" s="64" t="s">
        <v>33</v>
      </c>
      <c r="C27" s="106" t="s">
        <v>11</v>
      </c>
      <c r="D27" s="108">
        <v>15.7</v>
      </c>
      <c r="E27" s="110">
        <f>0.06*D3*8</f>
        <v>724.94399999999996</v>
      </c>
      <c r="F27" s="72"/>
      <c r="G27" s="34"/>
      <c r="H27" s="112">
        <f t="shared" si="0"/>
        <v>724.94399999999996</v>
      </c>
    </row>
    <row r="28" spans="1:8" ht="15.75" thickBot="1">
      <c r="A28" s="31"/>
      <c r="B28" s="77" t="s">
        <v>45</v>
      </c>
      <c r="C28" s="107"/>
      <c r="D28" s="109"/>
      <c r="E28" s="111"/>
      <c r="F28" s="76"/>
      <c r="G28" s="75"/>
      <c r="H28" s="113"/>
    </row>
    <row r="29" spans="1:8" ht="15.75" thickBot="1">
      <c r="A29" s="31"/>
      <c r="B29" s="64" t="s">
        <v>53</v>
      </c>
      <c r="C29" s="83" t="s">
        <v>54</v>
      </c>
      <c r="D29" s="95">
        <v>2</v>
      </c>
      <c r="E29" s="89">
        <f>0.03*D3*8</f>
        <v>362.47199999999998</v>
      </c>
      <c r="F29" s="74"/>
      <c r="G29" s="75"/>
      <c r="H29" s="50">
        <f t="shared" si="0"/>
        <v>362.47199999999998</v>
      </c>
    </row>
    <row r="30" spans="1:8" ht="29.25" thickBot="1">
      <c r="A30" s="31"/>
      <c r="B30" s="65" t="s">
        <v>34</v>
      </c>
      <c r="C30" s="73"/>
      <c r="D30" s="95"/>
      <c r="E30" s="89"/>
      <c r="F30" s="74"/>
      <c r="G30" s="75"/>
      <c r="H30" s="50"/>
    </row>
    <row r="31" spans="1:8" ht="15.75" thickBot="1">
      <c r="A31" s="25"/>
      <c r="B31" s="67" t="s">
        <v>35</v>
      </c>
      <c r="C31" s="1" t="s">
        <v>11</v>
      </c>
      <c r="D31" s="94">
        <v>1498.9</v>
      </c>
      <c r="E31" s="32">
        <f>1.3*D3*8</f>
        <v>15707.12</v>
      </c>
      <c r="F31" s="29"/>
      <c r="G31" s="29">
        <f>180+17</f>
        <v>197</v>
      </c>
      <c r="H31" s="50">
        <f t="shared" si="0"/>
        <v>15904.12</v>
      </c>
    </row>
    <row r="32" spans="1:8" ht="30">
      <c r="A32" s="17"/>
      <c r="B32" s="67" t="s">
        <v>36</v>
      </c>
      <c r="C32" s="1" t="s">
        <v>11</v>
      </c>
      <c r="D32" s="94">
        <v>35.5</v>
      </c>
      <c r="E32" s="32">
        <f>0.2*D3*8</f>
        <v>2416.48</v>
      </c>
      <c r="F32" s="32"/>
      <c r="G32" s="33"/>
      <c r="H32" s="50">
        <f t="shared" si="0"/>
        <v>2416.48</v>
      </c>
    </row>
    <row r="33" spans="1:11" ht="15.75" thickBot="1">
      <c r="A33" s="17"/>
      <c r="B33" s="55" t="s">
        <v>55</v>
      </c>
      <c r="C33" s="1" t="s">
        <v>11</v>
      </c>
      <c r="D33" s="94">
        <v>609.70000000000005</v>
      </c>
      <c r="E33" s="32">
        <f>0.9*D3*8</f>
        <v>10874.16</v>
      </c>
      <c r="F33" s="32"/>
      <c r="G33" s="41">
        <f>210+51.8+560+470+127.86+600.33+33+95</f>
        <v>2147.9899999999998</v>
      </c>
      <c r="H33" s="50">
        <f t="shared" si="0"/>
        <v>13022.15</v>
      </c>
    </row>
    <row r="34" spans="1:11" ht="15.75" thickBot="1">
      <c r="A34" s="17"/>
      <c r="B34" s="68" t="s">
        <v>56</v>
      </c>
      <c r="C34" s="78" t="s">
        <v>11</v>
      </c>
      <c r="D34" s="94">
        <v>15.7</v>
      </c>
      <c r="E34" s="32">
        <f>0.01*D3*8</f>
        <v>120.824</v>
      </c>
      <c r="F34" s="29"/>
      <c r="G34" s="34"/>
      <c r="H34" s="50">
        <f t="shared" si="0"/>
        <v>120.824</v>
      </c>
    </row>
    <row r="35" spans="1:11" ht="15.75" thickBot="1">
      <c r="A35" s="17"/>
      <c r="B35" s="55" t="s">
        <v>57</v>
      </c>
      <c r="C35" s="78" t="s">
        <v>54</v>
      </c>
      <c r="D35" s="94">
        <v>2</v>
      </c>
      <c r="E35" s="32">
        <f>0.03*D3*8</f>
        <v>362.47199999999998</v>
      </c>
      <c r="F35" s="29"/>
      <c r="G35" s="34"/>
      <c r="H35" s="50">
        <f t="shared" si="0"/>
        <v>362.47199999999998</v>
      </c>
    </row>
    <row r="36" spans="1:11" ht="15.75" thickBot="1">
      <c r="A36" s="22"/>
      <c r="B36" s="69" t="s">
        <v>37</v>
      </c>
      <c r="C36" s="1"/>
      <c r="D36" s="94"/>
      <c r="E36" s="90"/>
      <c r="F36" s="30"/>
      <c r="G36" s="43"/>
      <c r="H36" s="50"/>
    </row>
    <row r="37" spans="1:11">
      <c r="A37" s="24"/>
      <c r="B37" s="63" t="s">
        <v>38</v>
      </c>
      <c r="C37" s="1"/>
      <c r="D37" s="94"/>
      <c r="E37" s="91"/>
      <c r="F37" s="29"/>
      <c r="G37" s="26"/>
      <c r="H37" s="50"/>
    </row>
    <row r="38" spans="1:11" ht="15.75" thickBot="1">
      <c r="A38" s="17"/>
      <c r="B38" s="63" t="s">
        <v>39</v>
      </c>
      <c r="C38" s="1"/>
      <c r="D38" s="94"/>
      <c r="E38" s="32">
        <f>4.42*D3*8</f>
        <v>53404.207999999999</v>
      </c>
      <c r="F38" s="29"/>
      <c r="G38" s="26"/>
      <c r="H38" s="50">
        <f t="shared" si="0"/>
        <v>53404.207999999999</v>
      </c>
    </row>
    <row r="39" spans="1:11" ht="30.75" thickBot="1">
      <c r="A39" s="22"/>
      <c r="B39" s="67" t="s">
        <v>40</v>
      </c>
      <c r="C39" s="1" t="s">
        <v>54</v>
      </c>
      <c r="D39" s="94">
        <v>1</v>
      </c>
      <c r="E39" s="92">
        <f>0.03*D3*8</f>
        <v>362.47199999999998</v>
      </c>
      <c r="F39" s="30"/>
      <c r="G39" s="26"/>
      <c r="H39" s="91">
        <f t="shared" si="0"/>
        <v>362.47199999999998</v>
      </c>
    </row>
    <row r="40" spans="1:11" ht="45" customHeight="1" thickBot="1">
      <c r="A40" s="25"/>
      <c r="B40" s="70" t="s">
        <v>41</v>
      </c>
      <c r="C40" s="1"/>
      <c r="D40" s="94"/>
      <c r="E40" s="32"/>
      <c r="F40" s="29"/>
      <c r="G40" s="26"/>
      <c r="H40" s="50"/>
    </row>
    <row r="41" spans="1:11" ht="15.75" thickBot="1">
      <c r="A41" s="25"/>
      <c r="B41" s="71" t="s">
        <v>42</v>
      </c>
      <c r="C41" s="1"/>
      <c r="D41" s="94"/>
      <c r="E41" s="32">
        <f>0.95*D3*8</f>
        <v>11478.279999999999</v>
      </c>
      <c r="F41" s="29"/>
      <c r="G41" s="26"/>
      <c r="H41" s="50">
        <f t="shared" si="0"/>
        <v>11478.279999999999</v>
      </c>
    </row>
    <row r="42" spans="1:11" ht="15.75" thickBot="1">
      <c r="A42" s="23"/>
      <c r="B42" s="71" t="s">
        <v>43</v>
      </c>
      <c r="C42" s="1"/>
      <c r="D42" s="94"/>
      <c r="E42" s="92">
        <f>0.49*D3*8</f>
        <v>5920.3759999999993</v>
      </c>
      <c r="F42" s="30"/>
      <c r="G42" s="26"/>
      <c r="H42" s="50">
        <f t="shared" si="0"/>
        <v>5920.3759999999993</v>
      </c>
      <c r="K42" t="s">
        <v>7</v>
      </c>
    </row>
    <row r="43" spans="1:11" ht="15.75" thickBot="1">
      <c r="A43" s="23"/>
      <c r="B43" s="71" t="s">
        <v>44</v>
      </c>
      <c r="C43" s="1"/>
      <c r="D43" s="94"/>
      <c r="E43" s="93">
        <f>4.5*D3*8</f>
        <v>54370.799999999996</v>
      </c>
      <c r="F43" s="42"/>
      <c r="G43" s="26"/>
      <c r="H43" s="50">
        <f t="shared" si="0"/>
        <v>54370.799999999996</v>
      </c>
    </row>
    <row r="44" spans="1:11" ht="15.75" thickBot="1">
      <c r="A44" s="23"/>
      <c r="B44" s="84" t="s">
        <v>58</v>
      </c>
      <c r="C44" s="1"/>
      <c r="D44" s="94"/>
      <c r="E44" s="93"/>
      <c r="F44" s="42"/>
      <c r="G44" s="26"/>
      <c r="H44" s="50"/>
    </row>
    <row r="45" spans="1:11" ht="15.75" thickBot="1">
      <c r="A45" s="23"/>
      <c r="B45" s="71" t="s">
        <v>59</v>
      </c>
      <c r="C45" s="1" t="s">
        <v>54</v>
      </c>
      <c r="D45" s="94">
        <v>16</v>
      </c>
      <c r="E45" s="93">
        <f>1.05*D3*8</f>
        <v>12686.52</v>
      </c>
      <c r="F45" s="42"/>
      <c r="G45" s="26"/>
      <c r="H45" s="50">
        <v>0</v>
      </c>
    </row>
    <row r="46" spans="1:11" ht="15.75" thickBot="1">
      <c r="A46" s="23"/>
      <c r="B46" s="96" t="s">
        <v>60</v>
      </c>
      <c r="C46" s="1"/>
      <c r="D46" s="94"/>
      <c r="E46" s="93"/>
      <c r="F46" s="42"/>
      <c r="G46" s="26"/>
      <c r="H46" s="50"/>
    </row>
    <row r="47" spans="1:11" ht="25.5" customHeight="1">
      <c r="A47" s="23"/>
      <c r="B47" s="101" t="s">
        <v>61</v>
      </c>
      <c r="C47" s="1"/>
      <c r="D47" s="94"/>
      <c r="E47" s="93"/>
      <c r="F47" s="35">
        <f>2800+300</f>
        <v>3100</v>
      </c>
      <c r="G47" s="42">
        <f>2726.95+300</f>
        <v>3026.95</v>
      </c>
      <c r="H47" s="91">
        <f t="shared" si="0"/>
        <v>6126.95</v>
      </c>
    </row>
    <row r="48" spans="1:11" ht="28.5" customHeight="1" thickBot="1">
      <c r="A48" s="23"/>
      <c r="B48" s="102" t="s">
        <v>62</v>
      </c>
      <c r="C48" s="1"/>
      <c r="D48" s="94"/>
      <c r="E48" s="93"/>
      <c r="F48" s="42">
        <v>1415.23</v>
      </c>
      <c r="G48" s="26"/>
      <c r="H48" s="91">
        <f>G48+F48</f>
        <v>1415.23</v>
      </c>
    </row>
    <row r="49" spans="1:9" ht="15.75" customHeight="1">
      <c r="A49" s="23"/>
      <c r="B49" s="103" t="s">
        <v>63</v>
      </c>
      <c r="C49" s="1"/>
      <c r="D49" s="94"/>
      <c r="E49" s="93"/>
      <c r="F49" s="42">
        <v>1895</v>
      </c>
      <c r="G49" s="26">
        <v>7300</v>
      </c>
      <c r="H49" s="91">
        <f>G49+F49</f>
        <v>9195</v>
      </c>
    </row>
    <row r="50" spans="1:9" ht="24.75" customHeight="1">
      <c r="A50" s="22"/>
      <c r="B50" s="79" t="s">
        <v>46</v>
      </c>
      <c r="C50" s="1"/>
      <c r="D50" s="94"/>
      <c r="E50" s="90">
        <f>E7+E8+E9+E12+E15+E16+E19+E20+E21+E22+E25+E26+E27+E29+E31+E32+E33+E34+E35+E38+E39+E41+E42+E43+E45</f>
        <v>275962.016</v>
      </c>
      <c r="F50" s="30">
        <f>SUM(F7:F48)</f>
        <v>4515.2299999999996</v>
      </c>
      <c r="G50" s="36">
        <f>SUM(G7:G48)</f>
        <v>7423.329999999999</v>
      </c>
      <c r="H50" s="30">
        <f>SUM(H7:H49)</f>
        <v>284409.05599999998</v>
      </c>
      <c r="I50" s="35"/>
    </row>
    <row r="51" spans="1:9" ht="27" customHeight="1">
      <c r="A51" s="22"/>
      <c r="B51" s="9" t="s">
        <v>47</v>
      </c>
      <c r="C51" s="1"/>
      <c r="D51" s="94"/>
      <c r="E51" s="90"/>
      <c r="F51" s="30"/>
      <c r="G51" s="36"/>
      <c r="H51" s="80">
        <f>H50-E50</f>
        <v>8447.039999999979</v>
      </c>
    </row>
    <row r="52" spans="1:9" ht="21" customHeight="1">
      <c r="A52" s="22"/>
      <c r="B52" s="2" t="s">
        <v>9</v>
      </c>
      <c r="C52" s="1"/>
      <c r="D52" s="94"/>
      <c r="E52" s="91"/>
      <c r="F52" s="29"/>
      <c r="G52" s="26"/>
      <c r="H52" s="81">
        <v>80370.53</v>
      </c>
    </row>
    <row r="53" spans="1:9">
      <c r="H53" s="97"/>
    </row>
    <row r="54" spans="1:9">
      <c r="B54" s="85" t="s">
        <v>64</v>
      </c>
      <c r="F54" s="35"/>
      <c r="H54" s="37"/>
    </row>
    <row r="55" spans="1:9">
      <c r="H55" s="37"/>
    </row>
  </sheetData>
  <mergeCells count="5">
    <mergeCell ref="B1:H1"/>
    <mergeCell ref="C27:C28"/>
    <mergeCell ref="D27:D28"/>
    <mergeCell ref="E27:E28"/>
    <mergeCell ref="H27:H28"/>
  </mergeCells>
  <phoneticPr fontId="6" type="noConversion"/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3"/>
  <sheetViews>
    <sheetView tabSelected="1" workbookViewId="0">
      <selection activeCell="H49" sqref="H49"/>
    </sheetView>
  </sheetViews>
  <sheetFormatPr defaultColWidth="8.85546875" defaultRowHeight="15"/>
  <cols>
    <col min="1" max="1" width="4.140625" customWidth="1"/>
    <col min="2" max="2" width="63.7109375" customWidth="1"/>
    <col min="3" max="3" width="5.42578125" customWidth="1"/>
    <col min="4" max="4" width="7" customWidth="1"/>
    <col min="5" max="5" width="13.28515625" customWidth="1"/>
    <col min="6" max="6" width="10.7109375" bestFit="1" customWidth="1"/>
    <col min="7" max="7" width="9.5703125" customWidth="1"/>
    <col min="8" max="8" width="10.42578125" customWidth="1"/>
    <col min="9" max="9" width="9.7109375" bestFit="1" customWidth="1"/>
  </cols>
  <sheetData>
    <row r="1" spans="1:10" ht="69" customHeight="1">
      <c r="B1" s="114" t="s">
        <v>65</v>
      </c>
      <c r="C1" s="114"/>
      <c r="D1" s="114"/>
      <c r="E1" s="114"/>
      <c r="F1" s="114"/>
      <c r="G1" s="114"/>
      <c r="H1" s="114"/>
      <c r="I1" s="114"/>
      <c r="J1" s="4"/>
    </row>
    <row r="2" spans="1:10" ht="89.25">
      <c r="A2" s="3" t="s">
        <v>2</v>
      </c>
      <c r="B2" s="3" t="s">
        <v>0</v>
      </c>
      <c r="C2" s="3" t="s">
        <v>8</v>
      </c>
      <c r="D2" s="3" t="s">
        <v>1</v>
      </c>
      <c r="E2" s="51" t="s">
        <v>12</v>
      </c>
      <c r="F2" s="51" t="s">
        <v>13</v>
      </c>
      <c r="G2" s="3" t="s">
        <v>6</v>
      </c>
      <c r="H2" s="51" t="s">
        <v>14</v>
      </c>
    </row>
    <row r="3" spans="1:10" ht="21" customHeight="1">
      <c r="A3" s="3"/>
      <c r="B3" s="3" t="s">
        <v>10</v>
      </c>
      <c r="C3" s="3" t="s">
        <v>11</v>
      </c>
      <c r="D3" s="82">
        <v>2600.1999999999998</v>
      </c>
      <c r="E3" s="52">
        <f>D3*21.37*3</f>
        <v>166698.82199999999</v>
      </c>
      <c r="F3" s="40"/>
      <c r="G3" s="3"/>
      <c r="H3" s="40"/>
    </row>
    <row r="4" spans="1:10" ht="45">
      <c r="A4" s="11" t="s">
        <v>4</v>
      </c>
      <c r="B4" s="9" t="s">
        <v>3</v>
      </c>
      <c r="C4" s="1"/>
      <c r="D4" s="1"/>
      <c r="E4" s="1"/>
      <c r="F4" s="20"/>
      <c r="G4" s="1"/>
      <c r="H4" s="20"/>
    </row>
    <row r="5" spans="1:10" ht="30">
      <c r="A5" s="10">
        <v>1</v>
      </c>
      <c r="B5" s="9" t="s">
        <v>5</v>
      </c>
      <c r="C5" s="1"/>
      <c r="D5" s="1"/>
      <c r="E5" s="1"/>
      <c r="F5" s="20"/>
      <c r="G5" s="1"/>
      <c r="H5" s="20"/>
    </row>
    <row r="6" spans="1:10" ht="15.75" thickBot="1">
      <c r="A6" s="17"/>
      <c r="B6" s="54" t="s">
        <v>15</v>
      </c>
      <c r="C6" s="18"/>
      <c r="D6" s="18"/>
      <c r="E6" s="45"/>
      <c r="F6" s="45"/>
      <c r="G6" s="18"/>
      <c r="H6" s="49"/>
    </row>
    <row r="7" spans="1:10" ht="15.75" thickBot="1">
      <c r="A7" s="17"/>
      <c r="B7" s="55" t="s">
        <v>16</v>
      </c>
      <c r="C7" s="5"/>
      <c r="D7" s="5"/>
      <c r="E7" s="53">
        <f>D3*1.69*3</f>
        <v>13183.013999999999</v>
      </c>
      <c r="F7" s="53"/>
      <c r="G7" s="5">
        <v>705</v>
      </c>
      <c r="H7" s="50">
        <f>E7+F7+G7</f>
        <v>13888.013999999999</v>
      </c>
    </row>
    <row r="8" spans="1:10" ht="15.75" thickBot="1">
      <c r="A8" s="17"/>
      <c r="B8" s="55" t="s">
        <v>17</v>
      </c>
      <c r="C8" s="19"/>
      <c r="D8" s="19"/>
      <c r="E8" s="44">
        <f>0.22*D3*3</f>
        <v>1716.1320000000001</v>
      </c>
      <c r="F8" s="44"/>
      <c r="G8" s="19"/>
      <c r="H8" s="50">
        <f>E8+F8+G8</f>
        <v>1716.1320000000001</v>
      </c>
    </row>
    <row r="9" spans="1:10" ht="15.75" thickBot="1">
      <c r="A9" s="12"/>
      <c r="B9" s="55" t="s">
        <v>18</v>
      </c>
      <c r="C9" s="5"/>
      <c r="D9" s="5"/>
      <c r="E9" s="20">
        <f>1.15*D3*3</f>
        <v>8970.6899999999987</v>
      </c>
      <c r="F9" s="20"/>
      <c r="G9" s="5"/>
      <c r="H9" s="50">
        <f>E9+F9+G9</f>
        <v>8970.6899999999987</v>
      </c>
    </row>
    <row r="10" spans="1:10" ht="30">
      <c r="A10" s="25"/>
      <c r="B10" s="13" t="s">
        <v>49</v>
      </c>
      <c r="C10" s="5"/>
      <c r="D10" s="5"/>
      <c r="E10" s="46"/>
      <c r="F10" s="46"/>
      <c r="G10" s="21"/>
      <c r="H10" s="50"/>
    </row>
    <row r="11" spans="1:10">
      <c r="A11" s="22"/>
      <c r="B11" s="56" t="s">
        <v>20</v>
      </c>
      <c r="C11" s="8"/>
      <c r="D11" s="8"/>
      <c r="E11" s="86">
        <f>1.25*D3*3</f>
        <v>9750.75</v>
      </c>
      <c r="F11" s="39"/>
      <c r="G11" s="38"/>
      <c r="H11" s="50">
        <f t="shared" ref="H11:H41" si="0">E11+F11+G11</f>
        <v>9750.75</v>
      </c>
    </row>
    <row r="12" spans="1:10" ht="30" thickBot="1">
      <c r="A12" s="24"/>
      <c r="B12" s="57" t="s">
        <v>21</v>
      </c>
      <c r="C12" s="1"/>
      <c r="D12" s="7"/>
      <c r="E12" s="100"/>
      <c r="F12" s="29"/>
      <c r="G12" s="26"/>
      <c r="H12" s="50"/>
    </row>
    <row r="13" spans="1:10" s="16" customFormat="1" ht="15.75" thickBot="1">
      <c r="A13" s="25"/>
      <c r="B13" s="58" t="s">
        <v>22</v>
      </c>
      <c r="C13" s="14"/>
      <c r="D13" s="98"/>
      <c r="E13" s="47"/>
      <c r="F13" s="48"/>
      <c r="G13" s="27"/>
      <c r="H13" s="50"/>
    </row>
    <row r="14" spans="1:10" ht="15.75" thickBot="1">
      <c r="A14" s="17"/>
      <c r="B14" s="59" t="s">
        <v>23</v>
      </c>
      <c r="C14" s="6"/>
      <c r="D14" s="1"/>
      <c r="E14" s="48">
        <f>0.08*D3*3</f>
        <v>624.048</v>
      </c>
      <c r="F14" s="28"/>
      <c r="G14" s="29"/>
      <c r="H14" s="50">
        <f t="shared" si="0"/>
        <v>624.048</v>
      </c>
    </row>
    <row r="15" spans="1:10" ht="30.75" thickBot="1">
      <c r="A15" s="17"/>
      <c r="B15" s="60" t="s">
        <v>50</v>
      </c>
      <c r="C15" s="6"/>
      <c r="D15" s="1"/>
      <c r="E15" s="48">
        <f>0.6*D3*3</f>
        <v>4680.3599999999997</v>
      </c>
      <c r="F15" s="28"/>
      <c r="G15" s="26"/>
      <c r="H15" s="50">
        <f t="shared" si="0"/>
        <v>4680.3599999999997</v>
      </c>
    </row>
    <row r="16" spans="1:10" ht="29.25" thickBot="1">
      <c r="A16" s="17"/>
      <c r="B16" s="61" t="s">
        <v>24</v>
      </c>
      <c r="C16" s="6"/>
      <c r="D16" s="1"/>
      <c r="E16" s="88"/>
      <c r="F16" s="28"/>
      <c r="G16" s="26"/>
      <c r="H16" s="50"/>
    </row>
    <row r="17" spans="1:8" ht="29.25" thickBot="1">
      <c r="A17" s="17"/>
      <c r="B17" s="62" t="s">
        <v>25</v>
      </c>
      <c r="C17" s="6"/>
      <c r="D17" s="1"/>
      <c r="E17" s="88"/>
      <c r="F17" s="28"/>
      <c r="G17" s="26"/>
      <c r="H17" s="50"/>
    </row>
    <row r="18" spans="1:8" ht="21.75" customHeight="1" thickBot="1">
      <c r="A18" s="17"/>
      <c r="B18" s="63" t="s">
        <v>26</v>
      </c>
      <c r="C18" s="6" t="s">
        <v>11</v>
      </c>
      <c r="D18" s="94">
        <v>362.2</v>
      </c>
      <c r="E18" s="88">
        <f>1.66*D3*3</f>
        <v>12948.995999999999</v>
      </c>
      <c r="F18" s="28"/>
      <c r="G18" s="29"/>
      <c r="H18" s="50">
        <f t="shared" si="0"/>
        <v>12948.995999999999</v>
      </c>
    </row>
    <row r="19" spans="1:8" ht="15.75" thickBot="1">
      <c r="A19" s="17"/>
      <c r="B19" s="59" t="s">
        <v>27</v>
      </c>
      <c r="C19" s="6" t="s">
        <v>11</v>
      </c>
      <c r="D19" s="94">
        <v>362.2</v>
      </c>
      <c r="E19" s="88">
        <f>0.27*D3*3</f>
        <v>2106.1619999999998</v>
      </c>
      <c r="F19" s="28"/>
      <c r="G19" s="26"/>
      <c r="H19" s="50">
        <f t="shared" si="0"/>
        <v>2106.1619999999998</v>
      </c>
    </row>
    <row r="20" spans="1:8" ht="15.75" thickBot="1">
      <c r="A20" s="17"/>
      <c r="B20" s="60" t="s">
        <v>28</v>
      </c>
      <c r="C20" s="6" t="s">
        <v>11</v>
      </c>
      <c r="D20" s="94">
        <v>639.70000000000005</v>
      </c>
      <c r="E20" s="48">
        <f>0.03*D3*3</f>
        <v>234.01799999999997</v>
      </c>
      <c r="F20" s="28"/>
      <c r="G20" s="26"/>
      <c r="H20" s="50">
        <f t="shared" si="0"/>
        <v>234.01799999999997</v>
      </c>
    </row>
    <row r="21" spans="1:8" ht="15.75" thickBot="1">
      <c r="A21" s="17"/>
      <c r="B21" s="64" t="s">
        <v>29</v>
      </c>
      <c r="C21" s="6" t="s">
        <v>11</v>
      </c>
      <c r="D21" s="94">
        <v>1132.8</v>
      </c>
      <c r="E21" s="48">
        <f>0.09*D3*3</f>
        <v>702.05399999999986</v>
      </c>
      <c r="F21" s="28"/>
      <c r="G21" s="26"/>
      <c r="H21" s="50">
        <f t="shared" si="0"/>
        <v>702.05399999999986</v>
      </c>
    </row>
    <row r="22" spans="1:8" ht="29.25" thickBot="1">
      <c r="A22" s="24"/>
      <c r="B22" s="65" t="s">
        <v>30</v>
      </c>
      <c r="C22" s="6"/>
      <c r="D22" s="94"/>
      <c r="E22" s="48"/>
      <c r="F22" s="28"/>
      <c r="G22" s="26"/>
      <c r="H22" s="50"/>
    </row>
    <row r="23" spans="1:8">
      <c r="A23" s="115"/>
      <c r="B23" s="66" t="s">
        <v>31</v>
      </c>
      <c r="C23" s="6"/>
      <c r="D23" s="94"/>
      <c r="E23" s="48"/>
      <c r="F23" s="28"/>
      <c r="G23" s="26"/>
      <c r="H23" s="50"/>
    </row>
    <row r="24" spans="1:8" ht="15.75" thickBot="1">
      <c r="A24" s="116"/>
      <c r="B24" s="64" t="s">
        <v>66</v>
      </c>
      <c r="C24" s="6" t="s">
        <v>11</v>
      </c>
      <c r="D24" s="94">
        <v>2786.2</v>
      </c>
      <c r="E24" s="48">
        <f>0.99*D3*3</f>
        <v>7722.5939999999991</v>
      </c>
      <c r="F24" s="28"/>
      <c r="G24" s="29">
        <f>634.3+160+198+25+25.9</f>
        <v>1043.2</v>
      </c>
      <c r="H24" s="50">
        <f t="shared" si="0"/>
        <v>8765.7939999999999</v>
      </c>
    </row>
    <row r="25" spans="1:8" ht="30.75" thickBot="1">
      <c r="A25" s="17"/>
      <c r="B25" s="59" t="s">
        <v>32</v>
      </c>
      <c r="C25" s="6" t="s">
        <v>11</v>
      </c>
      <c r="D25" s="94">
        <v>44.5</v>
      </c>
      <c r="E25" s="48">
        <f>0.1*D3*3</f>
        <v>780.06</v>
      </c>
      <c r="G25" s="26"/>
      <c r="H25" s="91">
        <f>E25</f>
        <v>780.06</v>
      </c>
    </row>
    <row r="26" spans="1:8">
      <c r="A26" s="24"/>
      <c r="B26" s="64" t="s">
        <v>33</v>
      </c>
      <c r="C26" s="106" t="s">
        <v>11</v>
      </c>
      <c r="D26" s="108">
        <v>80.5</v>
      </c>
      <c r="E26" s="110">
        <f>0.16*D3*3</f>
        <v>1248.096</v>
      </c>
      <c r="F26" s="72"/>
      <c r="G26" s="34"/>
      <c r="H26" s="112">
        <f t="shared" si="0"/>
        <v>1248.096</v>
      </c>
    </row>
    <row r="27" spans="1:8" ht="15.75" thickBot="1">
      <c r="A27" s="31"/>
      <c r="B27" s="77" t="s">
        <v>45</v>
      </c>
      <c r="C27" s="107"/>
      <c r="D27" s="109"/>
      <c r="E27" s="111"/>
      <c r="F27" s="76"/>
      <c r="G27" s="75"/>
      <c r="H27" s="113"/>
    </row>
    <row r="28" spans="1:8" ht="15.75" thickBot="1">
      <c r="A28" s="31"/>
      <c r="B28" s="64" t="s">
        <v>53</v>
      </c>
      <c r="C28" s="83" t="s">
        <v>54</v>
      </c>
      <c r="D28" s="99">
        <v>4</v>
      </c>
      <c r="E28" s="89">
        <f>0.03*D3*3</f>
        <v>234.01799999999997</v>
      </c>
      <c r="F28" s="74"/>
      <c r="G28" s="75"/>
      <c r="H28" s="50">
        <f t="shared" si="0"/>
        <v>234.01799999999997</v>
      </c>
    </row>
    <row r="29" spans="1:8" ht="29.25" thickBot="1">
      <c r="A29" s="31"/>
      <c r="B29" s="65" t="s">
        <v>34</v>
      </c>
      <c r="C29" s="73"/>
      <c r="D29" s="99"/>
      <c r="E29" s="89"/>
      <c r="F29" s="74"/>
      <c r="G29" s="75"/>
      <c r="H29" s="50"/>
    </row>
    <row r="30" spans="1:8" ht="20.25" customHeight="1" thickBot="1">
      <c r="A30" s="25"/>
      <c r="B30" s="67" t="s">
        <v>35</v>
      </c>
      <c r="C30" s="1" t="s">
        <v>11</v>
      </c>
      <c r="D30" s="94">
        <v>2786.2</v>
      </c>
      <c r="E30" s="32">
        <f>1.01*D3*3</f>
        <v>7878.6059999999998</v>
      </c>
      <c r="F30" s="29"/>
      <c r="G30" s="29">
        <f>297.43+2400+165+265+60+1150+4655+690+350</f>
        <v>10032.43</v>
      </c>
      <c r="H30" s="50">
        <f t="shared" si="0"/>
        <v>17911.036</v>
      </c>
    </row>
    <row r="31" spans="1:8" ht="16.5" customHeight="1">
      <c r="A31" s="17"/>
      <c r="B31" s="67" t="s">
        <v>36</v>
      </c>
      <c r="C31" s="1" t="s">
        <v>11</v>
      </c>
      <c r="D31" s="94">
        <v>44.5</v>
      </c>
      <c r="E31" s="32">
        <f>0.07*D3*3</f>
        <v>546.04200000000003</v>
      </c>
      <c r="F31" s="32"/>
      <c r="G31" s="33"/>
      <c r="H31" s="50">
        <f t="shared" si="0"/>
        <v>546.04200000000003</v>
      </c>
    </row>
    <row r="32" spans="1:8" ht="15.75" thickBot="1">
      <c r="A32" s="17"/>
      <c r="B32" s="55" t="s">
        <v>55</v>
      </c>
      <c r="C32" s="1" t="s">
        <v>11</v>
      </c>
      <c r="D32" s="94">
        <v>230</v>
      </c>
      <c r="E32" s="32">
        <f>0.3*D3*3</f>
        <v>2340.1799999999998</v>
      </c>
      <c r="F32" s="32"/>
      <c r="G32" s="41"/>
      <c r="H32" s="50">
        <f t="shared" si="0"/>
        <v>2340.1799999999998</v>
      </c>
    </row>
    <row r="33" spans="1:11" ht="15.75" thickBot="1">
      <c r="A33" s="17"/>
      <c r="B33" s="68" t="s">
        <v>56</v>
      </c>
      <c r="C33" s="78" t="s">
        <v>11</v>
      </c>
      <c r="D33" s="56">
        <v>80.5</v>
      </c>
      <c r="E33" s="32">
        <f>0.02*D3*3</f>
        <v>156.012</v>
      </c>
      <c r="F33" s="29"/>
      <c r="G33" s="34"/>
      <c r="H33" s="50">
        <f t="shared" si="0"/>
        <v>156.012</v>
      </c>
    </row>
    <row r="34" spans="1:11" ht="15.75" thickBot="1">
      <c r="A34" s="17"/>
      <c r="B34" s="55" t="s">
        <v>57</v>
      </c>
      <c r="C34" s="78" t="s">
        <v>54</v>
      </c>
      <c r="D34" s="104">
        <v>4</v>
      </c>
      <c r="E34" s="32">
        <f>0.03*D3*3</f>
        <v>234.01799999999997</v>
      </c>
      <c r="F34" s="29"/>
      <c r="G34" s="34"/>
      <c r="H34" s="50">
        <f t="shared" si="0"/>
        <v>234.01799999999997</v>
      </c>
    </row>
    <row r="35" spans="1:11" ht="15.75" thickBot="1">
      <c r="A35" s="22"/>
      <c r="B35" s="69" t="s">
        <v>37</v>
      </c>
      <c r="C35" s="1"/>
      <c r="E35" s="90"/>
      <c r="F35" s="30"/>
      <c r="G35" s="43"/>
      <c r="H35" s="50"/>
    </row>
    <row r="36" spans="1:11">
      <c r="A36" s="24"/>
      <c r="B36" s="63" t="s">
        <v>38</v>
      </c>
      <c r="C36" s="1"/>
      <c r="D36" s="94"/>
      <c r="E36" s="91"/>
      <c r="F36" s="29"/>
      <c r="G36" s="26"/>
      <c r="H36" s="50"/>
    </row>
    <row r="37" spans="1:11" ht="15.75" thickBot="1">
      <c r="A37" s="17"/>
      <c r="B37" s="63" t="s">
        <v>39</v>
      </c>
      <c r="C37" s="1"/>
      <c r="D37" s="94"/>
      <c r="E37" s="32">
        <f>4.42*D3*3</f>
        <v>34478.651999999995</v>
      </c>
      <c r="F37" s="29"/>
      <c r="G37" s="26"/>
      <c r="H37" s="50">
        <f t="shared" si="0"/>
        <v>34478.651999999995</v>
      </c>
    </row>
    <row r="38" spans="1:11" ht="30.75" thickBot="1">
      <c r="A38" s="22"/>
      <c r="B38" s="67" t="s">
        <v>67</v>
      </c>
      <c r="C38" s="1"/>
      <c r="D38" s="94"/>
      <c r="E38" s="92">
        <f>0.02*D3*3</f>
        <v>156.012</v>
      </c>
      <c r="F38" s="30"/>
      <c r="G38" s="26"/>
      <c r="H38" s="91">
        <f t="shared" si="0"/>
        <v>156.012</v>
      </c>
    </row>
    <row r="39" spans="1:11" ht="45" customHeight="1" thickBot="1">
      <c r="A39" s="25"/>
      <c r="B39" s="70" t="s">
        <v>41</v>
      </c>
      <c r="C39" s="1"/>
      <c r="D39" s="94"/>
      <c r="E39" s="32"/>
      <c r="F39" s="29"/>
      <c r="G39" s="26"/>
      <c r="H39" s="50"/>
    </row>
    <row r="40" spans="1:11" ht="15.75" thickBot="1">
      <c r="A40" s="25"/>
      <c r="B40" s="71" t="s">
        <v>42</v>
      </c>
      <c r="C40" s="1"/>
      <c r="D40" s="94"/>
      <c r="E40" s="32">
        <f>0.94*D3*3</f>
        <v>7332.5639999999985</v>
      </c>
      <c r="F40" s="29"/>
      <c r="G40" s="26"/>
      <c r="H40" s="50">
        <f t="shared" si="0"/>
        <v>7332.5639999999985</v>
      </c>
    </row>
    <row r="41" spans="1:11" ht="15.75" thickBot="1">
      <c r="A41" s="23"/>
      <c r="B41" s="71" t="s">
        <v>43</v>
      </c>
      <c r="C41" s="1"/>
      <c r="D41" s="94"/>
      <c r="E41" s="92">
        <f>0.76*D3*3</f>
        <v>5928.4559999999992</v>
      </c>
      <c r="F41" s="30"/>
      <c r="G41" s="26"/>
      <c r="H41" s="50">
        <f t="shared" si="0"/>
        <v>5928.4559999999992</v>
      </c>
      <c r="K41" t="s">
        <v>7</v>
      </c>
    </row>
    <row r="42" spans="1:11" ht="15.75" thickBot="1">
      <c r="A42" s="23"/>
      <c r="B42" s="71" t="s">
        <v>69</v>
      </c>
      <c r="C42" s="1"/>
      <c r="D42" s="94"/>
      <c r="E42" s="92"/>
      <c r="F42" s="30"/>
      <c r="G42" s="26"/>
      <c r="H42" s="50"/>
    </row>
    <row r="43" spans="1:11" ht="15.75" thickBot="1">
      <c r="A43" s="23"/>
      <c r="B43" s="71" t="s">
        <v>68</v>
      </c>
      <c r="C43" s="1"/>
      <c r="D43" s="94"/>
      <c r="E43" s="92">
        <f>1.21*D3*3</f>
        <v>9438.7259999999987</v>
      </c>
      <c r="F43" s="30"/>
      <c r="G43" s="26"/>
      <c r="H43" s="50">
        <f>E43</f>
        <v>9438.7259999999987</v>
      </c>
    </row>
    <row r="44" spans="1:11" ht="15.75" thickBot="1">
      <c r="A44" s="23"/>
      <c r="B44" s="71" t="s">
        <v>70</v>
      </c>
      <c r="C44" s="1"/>
      <c r="D44" s="94"/>
      <c r="E44" s="92">
        <f>0.39*D3*3</f>
        <v>3042.2339999999999</v>
      </c>
      <c r="F44" s="30"/>
      <c r="G44" s="26"/>
      <c r="H44" s="50">
        <f>E44</f>
        <v>3042.2339999999999</v>
      </c>
    </row>
    <row r="45" spans="1:11" ht="15.75" thickBot="1">
      <c r="A45" s="23"/>
      <c r="B45" s="71" t="s">
        <v>71</v>
      </c>
      <c r="C45" s="1"/>
      <c r="D45" s="94"/>
      <c r="E45" s="92">
        <f>3.88*D3*3</f>
        <v>30266.328000000001</v>
      </c>
      <c r="F45" s="30"/>
      <c r="G45" s="26"/>
      <c r="H45" s="50">
        <f>E45</f>
        <v>30266.328000000001</v>
      </c>
    </row>
    <row r="46" spans="1:11" ht="15.75" thickBot="1">
      <c r="A46" s="23"/>
      <c r="B46" s="84" t="s">
        <v>58</v>
      </c>
      <c r="C46" s="1"/>
      <c r="D46" s="94"/>
      <c r="E46" s="93"/>
      <c r="F46" s="42"/>
      <c r="G46" s="26"/>
      <c r="H46" s="50"/>
    </row>
    <row r="47" spans="1:11" ht="26.25">
      <c r="A47" s="22"/>
      <c r="B47" s="79" t="s">
        <v>46</v>
      </c>
      <c r="C47" s="1"/>
      <c r="D47" s="94"/>
      <c r="E47" s="90">
        <f>SUM(E7:E45)</f>
        <v>166698.82199999996</v>
      </c>
      <c r="F47" s="30"/>
      <c r="G47" s="36">
        <f>SUM(G7:G46)</f>
        <v>11780.630000000001</v>
      </c>
      <c r="H47" s="30">
        <f>SUM(H7:H46)</f>
        <v>178479.45199999996</v>
      </c>
      <c r="I47" s="35"/>
    </row>
    <row r="48" spans="1:11" ht="30">
      <c r="A48" s="22"/>
      <c r="B48" s="9" t="s">
        <v>47</v>
      </c>
      <c r="C48" s="1"/>
      <c r="D48" s="94"/>
      <c r="E48" s="90"/>
      <c r="F48" s="30"/>
      <c r="G48" s="36"/>
      <c r="H48" s="80">
        <f>E47-H47</f>
        <v>-11780.630000000005</v>
      </c>
    </row>
    <row r="49" spans="1:8" ht="18.75" customHeight="1">
      <c r="A49" s="22"/>
      <c r="B49" s="2" t="s">
        <v>9</v>
      </c>
      <c r="C49" s="1"/>
      <c r="D49" s="94"/>
      <c r="E49" s="91"/>
      <c r="F49" s="29"/>
      <c r="G49" s="26"/>
      <c r="H49" s="81">
        <v>31905.88</v>
      </c>
    </row>
    <row r="50" spans="1:8">
      <c r="H50" s="97"/>
    </row>
    <row r="51" spans="1:8">
      <c r="B51" s="85" t="s">
        <v>64</v>
      </c>
      <c r="F51" s="35"/>
      <c r="H51" s="37"/>
    </row>
    <row r="52" spans="1:8">
      <c r="H52" s="37"/>
    </row>
    <row r="53" spans="1:8">
      <c r="F53" s="35"/>
    </row>
  </sheetData>
  <mergeCells count="6">
    <mergeCell ref="A23:A24"/>
    <mergeCell ref="C26:C27"/>
    <mergeCell ref="D26:D27"/>
    <mergeCell ref="E26:E27"/>
    <mergeCell ref="H26:H27"/>
    <mergeCell ref="B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2019г.(8 мес.) сайт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2016-05-16T01:28:18Z</cp:lastPrinted>
  <dcterms:created xsi:type="dcterms:W3CDTF">2006-09-16T00:00:00Z</dcterms:created>
  <dcterms:modified xsi:type="dcterms:W3CDTF">2020-05-06T01:53:12Z</dcterms:modified>
</cp:coreProperties>
</file>